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Foglio1" sheetId="1" r:id="rId1"/>
    <sheet name="Foglio3" sheetId="2" state="hidden" r:id="rId2"/>
  </sheets>
  <definedNames>
    <definedName name="_xlnm.Print_Area" localSheetId="0">'Foglio1'!$B$1:$E$53</definedName>
  </definedNames>
  <calcPr fullCalcOnLoad="1"/>
</workbook>
</file>

<file path=xl/sharedStrings.xml><?xml version="1.0" encoding="utf-8"?>
<sst xmlns="http://schemas.openxmlformats.org/spreadsheetml/2006/main" count="119" uniqueCount="90">
  <si>
    <t>Tipo di sale</t>
  </si>
  <si>
    <t>mg/l</t>
  </si>
  <si>
    <t>Potassio K+</t>
  </si>
  <si>
    <t>CaCO3</t>
  </si>
  <si>
    <t>meq/l</t>
  </si>
  <si>
    <t>Ferro Fe++</t>
  </si>
  <si>
    <t>Bicarbonati HCO3-</t>
  </si>
  <si>
    <t>Cloruri Cl-</t>
  </si>
  <si>
    <t>Nitrati NO3-</t>
  </si>
  <si>
    <t>Anitrode carbonica CO2</t>
  </si>
  <si>
    <t>Organico</t>
  </si>
  <si>
    <t>Mg/l KMnO4</t>
  </si>
  <si>
    <t>mg/l O2</t>
  </si>
  <si>
    <t>mg/l TOC</t>
  </si>
  <si>
    <t>Silice SiO2</t>
  </si>
  <si>
    <t>Manganese Mn++</t>
  </si>
  <si>
    <t>Ammoniaca NH4+</t>
  </si>
  <si>
    <t>Sodio Na+</t>
  </si>
  <si>
    <t>Floruri F-</t>
  </si>
  <si>
    <t>Calcio Ca++</t>
  </si>
  <si>
    <t>Magnesio Mg++</t>
  </si>
  <si>
    <t>Bario Ba++</t>
  </si>
  <si>
    <t>Solfati SO4-</t>
  </si>
  <si>
    <t>Carbonati CO3--</t>
  </si>
  <si>
    <t>Sronzio Sr++</t>
  </si>
  <si>
    <t>Acido H+</t>
  </si>
  <si>
    <t>Idrossido OH-</t>
  </si>
  <si>
    <t>Fosfati PO4</t>
  </si>
  <si>
    <t>Fosfati HPO4</t>
  </si>
  <si>
    <t>TOTALE  μS</t>
  </si>
  <si>
    <t>μS x 1 mg/l</t>
  </si>
  <si>
    <t xml:space="preserve"> μS CO2 a 25 C°</t>
  </si>
  <si>
    <t>μS x mg/l</t>
  </si>
  <si>
    <t>TOT. DUREZZA   F°</t>
  </si>
  <si>
    <t>TOTALE SALINITA'</t>
  </si>
  <si>
    <t>TOTALE CATIONI</t>
  </si>
  <si>
    <t>TOTALE ANIONI</t>
  </si>
  <si>
    <t>Cadmio Cd++</t>
  </si>
  <si>
    <t>Cromo Cr+++</t>
  </si>
  <si>
    <t>Nichel Ni++</t>
  </si>
  <si>
    <t>Piombo Pb++</t>
  </si>
  <si>
    <t>Rame Cu++</t>
  </si>
  <si>
    <t>Stagno Sn++</t>
  </si>
  <si>
    <t>Zinco Zn++</t>
  </si>
  <si>
    <t>Salinità</t>
  </si>
  <si>
    <t>350-600 ppm</t>
  </si>
  <si>
    <t>0-81 ppm</t>
  </si>
  <si>
    <t>151-300 ppm</t>
  </si>
  <si>
    <t>1201-1600 ppm</t>
  </si>
  <si>
    <t>601-900 ppm</t>
  </si>
  <si>
    <t>900-1200 ppm</t>
  </si>
  <si>
    <t>2501-4000 ppm</t>
  </si>
  <si>
    <t>1601-1500 ppm</t>
  </si>
  <si>
    <t>81-150 ppm</t>
  </si>
  <si>
    <t>4001-6500 ppm</t>
  </si>
  <si>
    <t>6501-10000 ppm</t>
  </si>
  <si>
    <t>10001-20000 pppm</t>
  </si>
  <si>
    <t>20001-40000 ppm</t>
  </si>
  <si>
    <t>Solfati</t>
  </si>
  <si>
    <t>0-50</t>
  </si>
  <si>
    <t>51-100 ppm</t>
  </si>
  <si>
    <t>101-200 ppm</t>
  </si>
  <si>
    <t>200-300 ppm</t>
  </si>
  <si>
    <t>301-500 ppm</t>
  </si>
  <si>
    <t>501-1000 ppm</t>
  </si>
  <si>
    <t>1001-2000 ppm</t>
  </si>
  <si>
    <t>2001-40000 ppm</t>
  </si>
  <si>
    <t>uS</t>
  </si>
  <si>
    <t>ppm Cl-</t>
  </si>
  <si>
    <t>ppm Na+</t>
  </si>
  <si>
    <t>3266 ppm</t>
  </si>
  <si>
    <t>peso</t>
  </si>
  <si>
    <t>soluzione usata</t>
  </si>
  <si>
    <t>temperatura 21 °C</t>
  </si>
  <si>
    <t>uS prova 2°</t>
  </si>
  <si>
    <t>uS prova 1°</t>
  </si>
  <si>
    <t>valori senza uS iniziali prova2</t>
  </si>
  <si>
    <t>risultato proporzionale</t>
  </si>
  <si>
    <t xml:space="preserve">proporzione </t>
  </si>
  <si>
    <t>Conducibilità uS</t>
  </si>
  <si>
    <t>Solfati proporzione</t>
  </si>
  <si>
    <t>Quoantità solfati</t>
  </si>
  <si>
    <t>Data</t>
  </si>
  <si>
    <t>Cliente</t>
  </si>
  <si>
    <t>Tipo di acqua</t>
  </si>
  <si>
    <t>CO2</t>
  </si>
  <si>
    <t>somma uS CO2</t>
  </si>
  <si>
    <r>
      <rPr>
        <b/>
        <sz val="11"/>
        <rFont val="Calibri"/>
        <family val="2"/>
      </rPr>
      <t>µ</t>
    </r>
    <r>
      <rPr>
        <b/>
        <sz val="11"/>
        <rFont val="Copperplate Gothic Light"/>
        <family val="2"/>
      </rPr>
      <t>S a 20 °C</t>
    </r>
  </si>
  <si>
    <t xml:space="preserve">                                             CALCOLO SALINITA' E CONDUCIBILITA'</t>
  </si>
  <si>
    <t>SAR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</si>
</sst>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00"/>
    <numFmt numFmtId="173" formatCode="0.0000"/>
    <numFmt numFmtId="174" formatCode="0.00000"/>
    <numFmt numFmtId="175" formatCode="0.0"/>
    <numFmt numFmtId="176" formatCode="&quot;€&quot;\ #,##0"/>
    <numFmt numFmtId="177" formatCode="#,##0.0000000000"/>
    <numFmt numFmtId="178" formatCode="#,##0.0"/>
  </numFmts>
  <fonts count="45">
    <font>
      <sz val="10"/>
      <name val="Arial"/>
      <family val="0"/>
    </font>
    <font>
      <sz val="8"/>
      <name val="Arial"/>
      <family val="2"/>
    </font>
    <font>
      <sz val="11"/>
      <name val="Batang"/>
      <family val="1"/>
    </font>
    <font>
      <b/>
      <sz val="11"/>
      <name val="Batang"/>
      <family val="1"/>
    </font>
    <font>
      <sz val="11"/>
      <color indexed="10"/>
      <name val="Batang"/>
      <family val="1"/>
    </font>
    <font>
      <sz val="10"/>
      <color indexed="10"/>
      <name val="Arial"/>
      <family val="2"/>
    </font>
    <font>
      <sz val="11"/>
      <name val="Copperplate Gothic Light"/>
      <family val="2"/>
    </font>
    <font>
      <b/>
      <sz val="11"/>
      <name val="Copperplate Gothic Light"/>
      <family val="2"/>
    </font>
    <font>
      <sz val="11"/>
      <color indexed="10"/>
      <name val="Copperplate Gothic Light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Batang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2" fontId="2" fillId="10" borderId="11" xfId="0" applyNumberFormat="1" applyFont="1" applyFill="1" applyBorder="1" applyAlignment="1">
      <alignment/>
    </xf>
    <xf numFmtId="0" fontId="3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175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5" fontId="2" fillId="0" borderId="0" xfId="0" applyNumberFormat="1" applyFont="1" applyAlignment="1">
      <alignment horizontal="center" vertical="center"/>
    </xf>
    <xf numFmtId="175" fontId="4" fillId="0" borderId="0" xfId="0" applyNumberFormat="1" applyFont="1" applyAlignment="1">
      <alignment horizontal="center"/>
    </xf>
    <xf numFmtId="175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14" xfId="0" applyFont="1" applyBorder="1" applyAlignment="1">
      <alignment horizontal="right"/>
    </xf>
    <xf numFmtId="178" fontId="2" fillId="0" borderId="0" xfId="0" applyNumberFormat="1" applyFont="1" applyAlignment="1">
      <alignment horizontal="center"/>
    </xf>
    <xf numFmtId="1" fontId="2" fillId="0" borderId="13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4" fillId="0" borderId="0" xfId="0" applyFont="1" applyAlignment="1">
      <alignment/>
    </xf>
    <xf numFmtId="0" fontId="7" fillId="0" borderId="17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2" fontId="6" fillId="32" borderId="11" xfId="0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173" fontId="6" fillId="33" borderId="0" xfId="0" applyNumberFormat="1" applyFont="1" applyFill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22" xfId="0" applyFont="1" applyBorder="1" applyAlignment="1" applyProtection="1">
      <alignment horizontal="right"/>
      <protection/>
    </xf>
    <xf numFmtId="2" fontId="6" fillId="32" borderId="11" xfId="0" applyNumberFormat="1" applyFont="1" applyFill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173" fontId="6" fillId="0" borderId="22" xfId="0" applyNumberFormat="1" applyFont="1" applyBorder="1" applyAlignment="1" applyProtection="1">
      <alignment/>
      <protection/>
    </xf>
    <xf numFmtId="2" fontId="6" fillId="0" borderId="0" xfId="0" applyNumberFormat="1" applyFont="1" applyAlignment="1" applyProtection="1">
      <alignment horizontal="center"/>
      <protection/>
    </xf>
    <xf numFmtId="175" fontId="8" fillId="0" borderId="0" xfId="0" applyNumberFormat="1" applyFont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173" fontId="7" fillId="0" borderId="22" xfId="0" applyNumberFormat="1" applyFont="1" applyBorder="1" applyAlignment="1" applyProtection="1">
      <alignment/>
      <protection/>
    </xf>
    <xf numFmtId="175" fontId="6" fillId="33" borderId="0" xfId="0" applyNumberFormat="1" applyFont="1" applyFill="1" applyAlignment="1" applyProtection="1">
      <alignment/>
      <protection/>
    </xf>
    <xf numFmtId="2" fontId="6" fillId="0" borderId="25" xfId="0" applyNumberFormat="1" applyFont="1" applyFill="1" applyBorder="1" applyAlignment="1" applyProtection="1">
      <alignment/>
      <protection/>
    </xf>
    <xf numFmtId="2" fontId="6" fillId="10" borderId="11" xfId="0" applyNumberFormat="1" applyFont="1" applyFill="1" applyBorder="1" applyAlignment="1" applyProtection="1">
      <alignment/>
      <protection/>
    </xf>
    <xf numFmtId="173" fontId="6" fillId="10" borderId="26" xfId="0" applyNumberFormat="1" applyFont="1" applyFill="1" applyBorder="1" applyAlignment="1" applyProtection="1">
      <alignment/>
      <protection/>
    </xf>
    <xf numFmtId="175" fontId="6" fillId="10" borderId="11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178" fontId="6" fillId="34" borderId="26" xfId="0" applyNumberFormat="1" applyFont="1" applyFill="1" applyBorder="1" applyAlignment="1" applyProtection="1">
      <alignment horizontal="right"/>
      <protection/>
    </xf>
    <xf numFmtId="175" fontId="6" fillId="0" borderId="0" xfId="0" applyNumberFormat="1" applyFont="1" applyFill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2" fontId="6" fillId="32" borderId="29" xfId="0" applyNumberFormat="1" applyFont="1" applyFill="1" applyBorder="1" applyAlignment="1" applyProtection="1">
      <alignment/>
      <protection/>
    </xf>
    <xf numFmtId="178" fontId="6" fillId="35" borderId="2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43"/>
  <sheetViews>
    <sheetView tabSelected="1" zoomScale="118" zoomScaleNormal="118" zoomScalePageLayoutView="0" workbookViewId="0" topLeftCell="A1">
      <selection activeCell="D17" sqref="D17"/>
    </sheetView>
  </sheetViews>
  <sheetFormatPr defaultColWidth="9.140625" defaultRowHeight="12.75"/>
  <cols>
    <col min="1" max="1" width="49.140625" style="40" customWidth="1"/>
    <col min="2" max="2" width="32.8515625" style="42" customWidth="1"/>
    <col min="3" max="3" width="21.140625" style="42" customWidth="1"/>
    <col min="4" max="4" width="20.57421875" style="42" customWidth="1"/>
    <col min="5" max="5" width="20.140625" style="42" customWidth="1"/>
    <col min="6" max="6" width="28.140625" style="40" customWidth="1"/>
    <col min="7" max="7" width="20.140625" style="40" customWidth="1"/>
    <col min="8" max="8" width="15.140625" style="43" customWidth="1"/>
    <col min="9" max="9" width="9.140625" style="40" customWidth="1"/>
    <col min="10" max="10" width="20.57421875" style="40" customWidth="1"/>
    <col min="11" max="13" width="9.140625" style="40" customWidth="1"/>
    <col min="14" max="14" width="19.8515625" style="40" customWidth="1"/>
    <col min="15" max="15" width="9.140625" style="42" customWidth="1"/>
    <col min="16" max="16" width="10.140625" style="42" customWidth="1"/>
    <col min="17" max="17" width="9.140625" style="42" customWidth="1"/>
    <col min="18" max="18" width="13.140625" style="42" customWidth="1"/>
    <col min="19" max="16384" width="9.140625" style="42" customWidth="1"/>
  </cols>
  <sheetData>
    <row r="1" ht="14.25">
      <c r="B1" s="41" t="s">
        <v>88</v>
      </c>
    </row>
    <row r="2" ht="14.25">
      <c r="B2" s="41"/>
    </row>
    <row r="3" spans="2:5" ht="14.25">
      <c r="B3" s="44"/>
      <c r="C3" s="44"/>
      <c r="D3" s="44"/>
      <c r="E3" s="44"/>
    </row>
    <row r="4" spans="2:5" ht="14.25">
      <c r="B4" s="45"/>
      <c r="C4" s="46"/>
      <c r="D4" s="47"/>
      <c r="E4" s="48"/>
    </row>
    <row r="5" spans="2:5" ht="14.25">
      <c r="B5" s="45" t="s">
        <v>82</v>
      </c>
      <c r="C5" s="35"/>
      <c r="D5" s="36"/>
      <c r="E5" s="37"/>
    </row>
    <row r="6" spans="2:5" ht="14.25">
      <c r="B6" s="45" t="s">
        <v>83</v>
      </c>
      <c r="C6" s="35"/>
      <c r="D6" s="36"/>
      <c r="E6" s="37"/>
    </row>
    <row r="7" spans="2:5" ht="14.25">
      <c r="B7" s="45" t="s">
        <v>84</v>
      </c>
      <c r="C7" s="38"/>
      <c r="D7" s="36"/>
      <c r="E7" s="37"/>
    </row>
    <row r="8" spans="2:5" ht="14.25">
      <c r="B8" s="45"/>
      <c r="C8" s="47"/>
      <c r="D8" s="47"/>
      <c r="E8" s="48"/>
    </row>
    <row r="9" spans="2:7" ht="14.25">
      <c r="B9" s="45"/>
      <c r="C9" s="47"/>
      <c r="D9" s="47"/>
      <c r="E9" s="48"/>
      <c r="G9" s="49"/>
    </row>
    <row r="10" spans="2:5" ht="14.25">
      <c r="B10" s="50" t="s">
        <v>0</v>
      </c>
      <c r="C10" s="51" t="s">
        <v>1</v>
      </c>
      <c r="D10" s="51" t="s">
        <v>3</v>
      </c>
      <c r="E10" s="52" t="s">
        <v>4</v>
      </c>
    </row>
    <row r="11" spans="2:5" ht="15" thickBot="1">
      <c r="B11" s="45"/>
      <c r="C11" s="47"/>
      <c r="D11" s="47"/>
      <c r="E11" s="48"/>
    </row>
    <row r="12" spans="2:5" ht="15" thickBot="1">
      <c r="B12" s="45" t="s">
        <v>19</v>
      </c>
      <c r="C12" s="39">
        <v>0</v>
      </c>
      <c r="D12" s="54">
        <f>C12*2.5</f>
        <v>0</v>
      </c>
      <c r="E12" s="55">
        <f>C12*0.0499+0.00000001</f>
        <v>1E-08</v>
      </c>
    </row>
    <row r="13" spans="2:5" ht="15" thickBot="1">
      <c r="B13" s="45" t="s">
        <v>20</v>
      </c>
      <c r="C13" s="39">
        <v>0</v>
      </c>
      <c r="D13" s="54">
        <f>C13*4.1667</f>
        <v>0</v>
      </c>
      <c r="E13" s="55">
        <f>C13*0.0823+0.00000001</f>
        <v>1E-08</v>
      </c>
    </row>
    <row r="14" spans="2:19" ht="15" thickBot="1">
      <c r="B14" s="45" t="s">
        <v>17</v>
      </c>
      <c r="C14" s="39">
        <v>0</v>
      </c>
      <c r="D14" s="54">
        <f>C14*2.1739</f>
        <v>0</v>
      </c>
      <c r="E14" s="55">
        <f>C14*0.043478+0.00000001</f>
        <v>1E-08</v>
      </c>
      <c r="P14" s="56"/>
      <c r="Q14" s="56"/>
      <c r="R14" s="56"/>
      <c r="S14" s="57"/>
    </row>
    <row r="15" spans="2:19" ht="15" thickBot="1">
      <c r="B15" s="45" t="s">
        <v>2</v>
      </c>
      <c r="C15" s="53">
        <v>0</v>
      </c>
      <c r="D15" s="54">
        <f>C15*1.2821</f>
        <v>0</v>
      </c>
      <c r="E15" s="55">
        <f>C15*0.025642</f>
        <v>0</v>
      </c>
      <c r="P15" s="56"/>
      <c r="Q15" s="56"/>
      <c r="R15" s="56"/>
      <c r="S15" s="57"/>
    </row>
    <row r="16" spans="2:19" ht="15" thickBot="1">
      <c r="B16" s="45" t="s">
        <v>16</v>
      </c>
      <c r="C16" s="74">
        <v>0</v>
      </c>
      <c r="D16" s="54">
        <f>C16*2.77</f>
        <v>0</v>
      </c>
      <c r="E16" s="55">
        <f>C16*0.0554</f>
        <v>0</v>
      </c>
      <c r="P16" s="56"/>
      <c r="Q16" s="56"/>
      <c r="R16" s="56"/>
      <c r="S16" s="57"/>
    </row>
    <row r="17" spans="2:19" ht="15" thickBot="1">
      <c r="B17" s="45" t="s">
        <v>5</v>
      </c>
      <c r="C17" s="74">
        <v>0</v>
      </c>
      <c r="D17" s="54">
        <f>C17*1.79</f>
        <v>0</v>
      </c>
      <c r="E17" s="55">
        <f>C17*0.0358</f>
        <v>0</v>
      </c>
      <c r="P17" s="56"/>
      <c r="Q17" s="56"/>
      <c r="R17" s="56"/>
      <c r="S17" s="57"/>
    </row>
    <row r="18" spans="2:19" ht="15" thickBot="1">
      <c r="B18" s="45" t="s">
        <v>15</v>
      </c>
      <c r="C18" s="74">
        <v>0</v>
      </c>
      <c r="D18" s="54">
        <f>C18*1.82</f>
        <v>0</v>
      </c>
      <c r="E18" s="55">
        <f>C18*0.0364</f>
        <v>0</v>
      </c>
      <c r="P18" s="56"/>
      <c r="Q18" s="56"/>
      <c r="R18" s="56"/>
      <c r="S18" s="57"/>
    </row>
    <row r="19" spans="2:19" ht="15" thickBot="1">
      <c r="B19" s="45" t="s">
        <v>21</v>
      </c>
      <c r="C19" s="74">
        <v>0</v>
      </c>
      <c r="D19" s="54">
        <f>C19*0.73</f>
        <v>0</v>
      </c>
      <c r="E19" s="55">
        <f>C19*0.0146</f>
        <v>0</v>
      </c>
      <c r="P19" s="56"/>
      <c r="Q19" s="56"/>
      <c r="R19" s="56"/>
      <c r="S19" s="57"/>
    </row>
    <row r="20" spans="2:19" ht="15" thickBot="1">
      <c r="B20" s="45" t="s">
        <v>24</v>
      </c>
      <c r="C20" s="53">
        <v>0</v>
      </c>
      <c r="D20" s="54">
        <f>C20*1.14</f>
        <v>0</v>
      </c>
      <c r="E20" s="55">
        <f>C20*0.028</f>
        <v>0</v>
      </c>
      <c r="P20" s="56"/>
      <c r="Q20" s="56"/>
      <c r="R20" s="56"/>
      <c r="S20" s="57"/>
    </row>
    <row r="21" spans="2:19" ht="15" thickBot="1">
      <c r="B21" s="45" t="s">
        <v>23</v>
      </c>
      <c r="C21" s="74">
        <v>0</v>
      </c>
      <c r="D21" s="54">
        <f>C21*1.67</f>
        <v>0</v>
      </c>
      <c r="E21" s="55">
        <f>C21*0.0333</f>
        <v>0</v>
      </c>
      <c r="P21" s="56"/>
      <c r="Q21" s="56"/>
      <c r="R21" s="56"/>
      <c r="S21" s="57"/>
    </row>
    <row r="22" spans="2:19" ht="15" thickBot="1">
      <c r="B22" s="45" t="s">
        <v>6</v>
      </c>
      <c r="C22" s="74">
        <v>0</v>
      </c>
      <c r="D22" s="54">
        <f>C22*0.8197</f>
        <v>0</v>
      </c>
      <c r="E22" s="55">
        <f>C22*0.016393</f>
        <v>0</v>
      </c>
      <c r="P22" s="56"/>
      <c r="Q22" s="56"/>
      <c r="R22" s="56"/>
      <c r="S22" s="57"/>
    </row>
    <row r="23" spans="2:19" ht="15" thickBot="1">
      <c r="B23" s="45" t="s">
        <v>7</v>
      </c>
      <c r="C23" s="74">
        <v>0</v>
      </c>
      <c r="D23" s="54">
        <f>C23*1.4085</f>
        <v>0</v>
      </c>
      <c r="E23" s="55">
        <f>C23*0.028169</f>
        <v>0</v>
      </c>
      <c r="P23" s="56"/>
      <c r="Q23" s="56"/>
      <c r="R23" s="56"/>
      <c r="S23" s="57"/>
    </row>
    <row r="24" spans="2:19" ht="15" thickBot="1">
      <c r="B24" s="45" t="s">
        <v>22</v>
      </c>
      <c r="C24" s="53">
        <v>0</v>
      </c>
      <c r="D24" s="54">
        <f>C24*1.0417</f>
        <v>0</v>
      </c>
      <c r="E24" s="55">
        <f>C24*0.020833</f>
        <v>0</v>
      </c>
      <c r="P24" s="56"/>
      <c r="Q24" s="56"/>
      <c r="R24" s="56"/>
      <c r="S24" s="57"/>
    </row>
    <row r="25" spans="2:19" ht="15" thickBot="1">
      <c r="B25" s="45" t="s">
        <v>8</v>
      </c>
      <c r="C25" s="74">
        <v>0</v>
      </c>
      <c r="D25" s="54">
        <f>C25*0.8065</f>
        <v>0</v>
      </c>
      <c r="E25" s="55">
        <f>C25*0.016129</f>
        <v>0</v>
      </c>
      <c r="P25" s="56"/>
      <c r="Q25" s="56"/>
      <c r="R25" s="56"/>
      <c r="S25" s="57"/>
    </row>
    <row r="26" spans="2:19" ht="15" thickBot="1">
      <c r="B26" s="45" t="s">
        <v>18</v>
      </c>
      <c r="C26" s="74">
        <v>0</v>
      </c>
      <c r="D26" s="54">
        <f>C26*2.63</f>
        <v>0</v>
      </c>
      <c r="E26" s="55">
        <f>C26*0.0526</f>
        <v>0</v>
      </c>
      <c r="P26" s="56"/>
      <c r="Q26" s="56"/>
      <c r="R26" s="56"/>
      <c r="S26" s="57"/>
    </row>
    <row r="27" spans="2:19" ht="15" thickBot="1">
      <c r="B27" s="45" t="s">
        <v>25</v>
      </c>
      <c r="C27" s="53">
        <v>0</v>
      </c>
      <c r="D27" s="54"/>
      <c r="E27" s="55"/>
      <c r="P27" s="56"/>
      <c r="Q27" s="56"/>
      <c r="R27" s="56"/>
      <c r="S27" s="57"/>
    </row>
    <row r="28" spans="2:19" ht="15" thickBot="1">
      <c r="B28" s="45" t="s">
        <v>26</v>
      </c>
      <c r="C28" s="53">
        <v>0</v>
      </c>
      <c r="D28" s="54"/>
      <c r="E28" s="55"/>
      <c r="P28" s="56"/>
      <c r="Q28" s="56"/>
      <c r="R28" s="56"/>
      <c r="S28" s="57"/>
    </row>
    <row r="29" spans="2:19" ht="15" thickBot="1">
      <c r="B29" s="45" t="s">
        <v>27</v>
      </c>
      <c r="C29" s="53">
        <v>0</v>
      </c>
      <c r="D29" s="54"/>
      <c r="E29" s="55"/>
      <c r="P29" s="56"/>
      <c r="Q29" s="56"/>
      <c r="R29" s="56"/>
      <c r="S29" s="57"/>
    </row>
    <row r="30" spans="2:19" ht="15" thickBot="1">
      <c r="B30" s="45" t="s">
        <v>28</v>
      </c>
      <c r="C30" s="53">
        <v>0</v>
      </c>
      <c r="D30" s="54"/>
      <c r="E30" s="55"/>
      <c r="P30" s="56"/>
      <c r="Q30" s="56"/>
      <c r="R30" s="56"/>
      <c r="S30" s="57"/>
    </row>
    <row r="31" spans="2:19" ht="15" thickBot="1">
      <c r="B31" s="45" t="s">
        <v>37</v>
      </c>
      <c r="C31" s="74">
        <v>0</v>
      </c>
      <c r="D31" s="54">
        <f>C31*0.89</f>
        <v>0</v>
      </c>
      <c r="E31" s="55">
        <f aca="true" t="shared" si="0" ref="E31:E37">D31/50</f>
        <v>0</v>
      </c>
      <c r="P31" s="56"/>
      <c r="Q31" s="56"/>
      <c r="R31" s="56"/>
      <c r="S31" s="57"/>
    </row>
    <row r="32" spans="2:5" ht="15" thickBot="1">
      <c r="B32" s="45" t="s">
        <v>38</v>
      </c>
      <c r="C32" s="74">
        <v>0</v>
      </c>
      <c r="D32" s="54">
        <f>C32*2.89</f>
        <v>0</v>
      </c>
      <c r="E32" s="55">
        <f t="shared" si="0"/>
        <v>0</v>
      </c>
    </row>
    <row r="33" spans="2:5" ht="15" thickBot="1">
      <c r="B33" s="45" t="s">
        <v>39</v>
      </c>
      <c r="C33" s="74">
        <v>0</v>
      </c>
      <c r="D33" s="54">
        <f>C33*1.7</f>
        <v>0</v>
      </c>
      <c r="E33" s="55">
        <f t="shared" si="0"/>
        <v>0</v>
      </c>
    </row>
    <row r="34" spans="2:5" ht="15" thickBot="1">
      <c r="B34" s="45" t="s">
        <v>40</v>
      </c>
      <c r="C34" s="74">
        <v>0</v>
      </c>
      <c r="D34" s="54">
        <f>C34*0.48</f>
        <v>0</v>
      </c>
      <c r="E34" s="55">
        <f t="shared" si="0"/>
        <v>0</v>
      </c>
    </row>
    <row r="35" spans="2:5" ht="15" thickBot="1">
      <c r="B35" s="45" t="s">
        <v>41</v>
      </c>
      <c r="C35" s="53">
        <v>0</v>
      </c>
      <c r="D35" s="54">
        <f>C35*1.57</f>
        <v>0</v>
      </c>
      <c r="E35" s="55">
        <f t="shared" si="0"/>
        <v>0</v>
      </c>
    </row>
    <row r="36" spans="2:5" ht="15" thickBot="1">
      <c r="B36" s="45" t="s">
        <v>42</v>
      </c>
      <c r="C36" s="74">
        <v>0</v>
      </c>
      <c r="D36" s="54">
        <f>C36*0.84</f>
        <v>0</v>
      </c>
      <c r="E36" s="55">
        <f t="shared" si="0"/>
        <v>0</v>
      </c>
    </row>
    <row r="37" spans="2:5" ht="15" thickBot="1">
      <c r="B37" s="45" t="s">
        <v>43</v>
      </c>
      <c r="C37" s="53">
        <v>0</v>
      </c>
      <c r="D37" s="54">
        <f>C37*1.53</f>
        <v>0</v>
      </c>
      <c r="E37" s="55">
        <f t="shared" si="0"/>
        <v>0</v>
      </c>
    </row>
    <row r="38" spans="2:5" ht="14.25">
      <c r="B38" s="45"/>
      <c r="C38" s="58"/>
      <c r="D38" s="47"/>
      <c r="E38" s="48"/>
    </row>
    <row r="39" spans="2:7" ht="15" thickBot="1">
      <c r="B39" s="45"/>
      <c r="C39" s="59"/>
      <c r="D39" s="47"/>
      <c r="E39" s="48"/>
      <c r="F39" s="49"/>
      <c r="G39" s="49"/>
    </row>
    <row r="40" spans="2:5" ht="15" thickBot="1">
      <c r="B40" s="45" t="s">
        <v>14</v>
      </c>
      <c r="C40" s="53">
        <v>0</v>
      </c>
      <c r="D40" s="60">
        <f>C40*0.8333</f>
        <v>0</v>
      </c>
      <c r="E40" s="61">
        <f>C40*0.016667</f>
        <v>0</v>
      </c>
    </row>
    <row r="41" spans="2:12" ht="15" thickBot="1">
      <c r="B41" s="45" t="s">
        <v>9</v>
      </c>
      <c r="C41" s="53">
        <v>0</v>
      </c>
      <c r="D41" s="60">
        <f>C41*1.1364</f>
        <v>0</v>
      </c>
      <c r="E41" s="61">
        <f>C41*0.022727</f>
        <v>0</v>
      </c>
      <c r="L41" s="62"/>
    </row>
    <row r="42" spans="2:12" ht="15" thickBot="1">
      <c r="B42" s="45"/>
      <c r="C42" s="63"/>
      <c r="D42" s="54"/>
      <c r="E42" s="55"/>
      <c r="L42" s="62"/>
    </row>
    <row r="43" spans="2:5" ht="15" thickBot="1">
      <c r="B43" s="50" t="s">
        <v>34</v>
      </c>
      <c r="C43" s="64">
        <f>SUM(C12:C40)</f>
        <v>0</v>
      </c>
      <c r="D43" s="47"/>
      <c r="E43" s="48"/>
    </row>
    <row r="44" spans="2:5" ht="15" thickBot="1">
      <c r="B44" s="50" t="s">
        <v>35</v>
      </c>
      <c r="C44" s="54"/>
      <c r="D44" s="64">
        <f>SUM(D12:D20)+SUM(D31:D37)</f>
        <v>0</v>
      </c>
      <c r="E44" s="65">
        <f>SUM(E12:E20)+SUM(E31:E37)</f>
        <v>3.0000000000000004E-08</v>
      </c>
    </row>
    <row r="45" spans="2:5" ht="15" thickBot="1">
      <c r="B45" s="50" t="s">
        <v>36</v>
      </c>
      <c r="C45" s="47"/>
      <c r="D45" s="64">
        <f>SUM(D21:D26)+D40+D41</f>
        <v>0</v>
      </c>
      <c r="E45" s="65">
        <f>SUM(E21:E26)+E40+E41</f>
        <v>0</v>
      </c>
    </row>
    <row r="46" spans="2:5" ht="15" thickBot="1">
      <c r="B46" s="45"/>
      <c r="C46" s="47"/>
      <c r="D46" s="47"/>
      <c r="E46" s="48"/>
    </row>
    <row r="47" spans="2:5" ht="15.75" thickBot="1">
      <c r="B47" s="50" t="s">
        <v>33</v>
      </c>
      <c r="C47" s="66">
        <f>(D12+D13)/10</f>
        <v>0</v>
      </c>
      <c r="D47" s="67" t="s">
        <v>87</v>
      </c>
      <c r="E47" s="68">
        <f>Foglio3!I44</f>
        <v>0</v>
      </c>
    </row>
    <row r="48" spans="2:5" ht="15" thickBot="1">
      <c r="B48" s="50"/>
      <c r="C48" s="69"/>
      <c r="D48" s="67" t="s">
        <v>89</v>
      </c>
      <c r="E48" s="75">
        <f>E14/(SQRT(E12+E13/2))</f>
        <v>8.16496580927726E-05</v>
      </c>
    </row>
    <row r="49" spans="2:5" ht="14.25">
      <c r="B49" s="45"/>
      <c r="C49" s="47"/>
      <c r="D49" s="47"/>
      <c r="E49" s="48"/>
    </row>
    <row r="50" spans="2:5" ht="15" thickBot="1">
      <c r="B50" s="45"/>
      <c r="C50" s="51" t="s">
        <v>11</v>
      </c>
      <c r="D50" s="51" t="s">
        <v>12</v>
      </c>
      <c r="E50" s="52" t="s">
        <v>13</v>
      </c>
    </row>
    <row r="51" spans="2:5" ht="15" thickBot="1">
      <c r="B51" s="45" t="s">
        <v>10</v>
      </c>
      <c r="C51" s="53">
        <v>0</v>
      </c>
      <c r="D51" s="54">
        <f>C51*0.25</f>
        <v>0</v>
      </c>
      <c r="E51" s="55">
        <f>C51*0.08</f>
        <v>0</v>
      </c>
    </row>
    <row r="52" spans="2:5" ht="14.25">
      <c r="B52" s="70"/>
      <c r="C52" s="44"/>
      <c r="D52" s="44"/>
      <c r="E52" s="71"/>
    </row>
    <row r="54" s="40" customFormat="1" ht="14.25">
      <c r="H54" s="43"/>
    </row>
    <row r="55" s="40" customFormat="1" ht="14.25">
      <c r="H55" s="43"/>
    </row>
    <row r="56" spans="8:14" s="40" customFormat="1" ht="14.25">
      <c r="H56" s="43"/>
      <c r="L56" s="72"/>
      <c r="N56" s="72"/>
    </row>
    <row r="57" spans="8:14" s="40" customFormat="1" ht="14.25">
      <c r="H57" s="43"/>
      <c r="L57" s="72"/>
      <c r="N57" s="72"/>
    </row>
    <row r="58" s="40" customFormat="1" ht="14.25">
      <c r="H58" s="43"/>
    </row>
    <row r="59" s="40" customFormat="1" ht="14.25">
      <c r="H59" s="43"/>
    </row>
    <row r="60" s="40" customFormat="1" ht="14.25">
      <c r="H60" s="43"/>
    </row>
    <row r="61" s="40" customFormat="1" ht="14.25">
      <c r="H61" s="43"/>
    </row>
    <row r="62" s="40" customFormat="1" ht="14.25">
      <c r="H62" s="43"/>
    </row>
    <row r="63" spans="3:11" s="40" customFormat="1" ht="14.25">
      <c r="C63" s="72"/>
      <c r="D63" s="72"/>
      <c r="E63" s="72"/>
      <c r="H63" s="43"/>
      <c r="K63" s="72"/>
    </row>
    <row r="64" s="40" customFormat="1" ht="14.25">
      <c r="H64" s="43"/>
    </row>
    <row r="65" s="40" customFormat="1" ht="14.25">
      <c r="H65" s="43"/>
    </row>
    <row r="66" s="40" customFormat="1" ht="14.25">
      <c r="H66" s="43"/>
    </row>
    <row r="67" s="40" customFormat="1" ht="14.25">
      <c r="H67" s="43"/>
    </row>
    <row r="68" s="40" customFormat="1" ht="14.25">
      <c r="H68" s="43"/>
    </row>
    <row r="69" s="40" customFormat="1" ht="14.25">
      <c r="H69" s="43"/>
    </row>
    <row r="70" s="40" customFormat="1" ht="14.25">
      <c r="H70" s="43"/>
    </row>
    <row r="71" s="40" customFormat="1" ht="14.25">
      <c r="H71" s="43"/>
    </row>
    <row r="72" s="40" customFormat="1" ht="14.25">
      <c r="H72" s="43"/>
    </row>
    <row r="73" s="40" customFormat="1" ht="14.25">
      <c r="H73" s="43"/>
    </row>
    <row r="74" s="40" customFormat="1" ht="14.25">
      <c r="H74" s="43"/>
    </row>
    <row r="75" s="40" customFormat="1" ht="14.25">
      <c r="H75" s="43"/>
    </row>
    <row r="76" s="40" customFormat="1" ht="14.25">
      <c r="H76" s="43"/>
    </row>
    <row r="77" s="40" customFormat="1" ht="14.25">
      <c r="H77" s="43"/>
    </row>
    <row r="78" s="40" customFormat="1" ht="14.25">
      <c r="H78" s="43"/>
    </row>
    <row r="79" s="40" customFormat="1" ht="14.25">
      <c r="H79" s="43"/>
    </row>
    <row r="80" s="40" customFormat="1" ht="14.25">
      <c r="H80" s="43"/>
    </row>
    <row r="81" s="40" customFormat="1" ht="14.25">
      <c r="H81" s="43"/>
    </row>
    <row r="82" s="40" customFormat="1" ht="14.25">
      <c r="H82" s="43"/>
    </row>
    <row r="83" s="40" customFormat="1" ht="14.25">
      <c r="H83" s="43"/>
    </row>
    <row r="84" s="40" customFormat="1" ht="14.25">
      <c r="H84" s="43"/>
    </row>
    <row r="85" spans="3:8" s="40" customFormat="1" ht="14.25">
      <c r="C85" s="73"/>
      <c r="D85" s="73"/>
      <c r="F85" s="73"/>
      <c r="G85" s="73"/>
      <c r="H85" s="43"/>
    </row>
    <row r="86" spans="3:8" s="40" customFormat="1" ht="14.25">
      <c r="C86" s="73"/>
      <c r="D86" s="73"/>
      <c r="F86" s="73"/>
      <c r="G86" s="73"/>
      <c r="H86" s="43"/>
    </row>
    <row r="87" spans="3:8" s="40" customFormat="1" ht="14.25">
      <c r="C87" s="73"/>
      <c r="D87" s="73"/>
      <c r="F87" s="73"/>
      <c r="G87" s="73"/>
      <c r="H87" s="43"/>
    </row>
    <row r="88" spans="3:8" s="40" customFormat="1" ht="14.25">
      <c r="C88" s="73"/>
      <c r="D88" s="73"/>
      <c r="F88" s="73"/>
      <c r="G88" s="73"/>
      <c r="H88" s="43"/>
    </row>
    <row r="89" s="40" customFormat="1" ht="14.25">
      <c r="H89" s="43"/>
    </row>
    <row r="90" s="40" customFormat="1" ht="14.25">
      <c r="H90" s="43"/>
    </row>
    <row r="91" s="40" customFormat="1" ht="14.25">
      <c r="H91" s="43"/>
    </row>
    <row r="92" s="40" customFormat="1" ht="14.25">
      <c r="H92" s="43"/>
    </row>
    <row r="93" s="40" customFormat="1" ht="14.25">
      <c r="H93" s="43"/>
    </row>
    <row r="94" s="40" customFormat="1" ht="14.25">
      <c r="H94" s="43"/>
    </row>
    <row r="95" s="40" customFormat="1" ht="14.25">
      <c r="H95" s="43"/>
    </row>
    <row r="96" s="40" customFormat="1" ht="14.25">
      <c r="H96" s="43"/>
    </row>
    <row r="97" s="40" customFormat="1" ht="14.25">
      <c r="H97" s="43"/>
    </row>
    <row r="98" s="40" customFormat="1" ht="14.25">
      <c r="H98" s="43"/>
    </row>
    <row r="99" s="40" customFormat="1" ht="14.25">
      <c r="H99" s="43"/>
    </row>
    <row r="100" s="40" customFormat="1" ht="14.25">
      <c r="H100" s="43"/>
    </row>
    <row r="101" s="40" customFormat="1" ht="14.25">
      <c r="H101" s="43"/>
    </row>
    <row r="102" s="40" customFormat="1" ht="14.25">
      <c r="H102" s="43"/>
    </row>
    <row r="103" s="40" customFormat="1" ht="14.25">
      <c r="H103" s="43"/>
    </row>
    <row r="104" s="40" customFormat="1" ht="14.25">
      <c r="H104" s="43"/>
    </row>
    <row r="105" s="40" customFormat="1" ht="14.25">
      <c r="H105" s="43"/>
    </row>
    <row r="106" s="40" customFormat="1" ht="14.25">
      <c r="H106" s="43"/>
    </row>
    <row r="107" s="40" customFormat="1" ht="14.25">
      <c r="H107" s="43"/>
    </row>
    <row r="108" s="40" customFormat="1" ht="14.25">
      <c r="H108" s="43"/>
    </row>
    <row r="109" s="40" customFormat="1" ht="14.25">
      <c r="H109" s="43"/>
    </row>
    <row r="110" s="40" customFormat="1" ht="14.25">
      <c r="H110" s="43"/>
    </row>
    <row r="111" s="40" customFormat="1" ht="14.25">
      <c r="H111" s="43"/>
    </row>
    <row r="112" s="40" customFormat="1" ht="14.25">
      <c r="H112" s="43"/>
    </row>
    <row r="113" s="40" customFormat="1" ht="14.25">
      <c r="H113" s="43"/>
    </row>
    <row r="114" s="40" customFormat="1" ht="14.25">
      <c r="H114" s="43"/>
    </row>
    <row r="115" s="40" customFormat="1" ht="14.25">
      <c r="H115" s="43"/>
    </row>
    <row r="116" s="40" customFormat="1" ht="14.25">
      <c r="H116" s="43"/>
    </row>
    <row r="117" s="40" customFormat="1" ht="14.25">
      <c r="H117" s="43"/>
    </row>
    <row r="118" s="40" customFormat="1" ht="14.25">
      <c r="H118" s="43"/>
    </row>
    <row r="119" s="40" customFormat="1" ht="14.25">
      <c r="H119" s="43"/>
    </row>
    <row r="120" s="40" customFormat="1" ht="14.25">
      <c r="H120" s="43"/>
    </row>
    <row r="121" s="40" customFormat="1" ht="14.25">
      <c r="H121" s="43"/>
    </row>
    <row r="122" s="40" customFormat="1" ht="14.25">
      <c r="H122" s="43"/>
    </row>
    <row r="123" s="40" customFormat="1" ht="14.25">
      <c r="H123" s="43"/>
    </row>
    <row r="124" s="40" customFormat="1" ht="14.25">
      <c r="H124" s="43"/>
    </row>
    <row r="125" s="40" customFormat="1" ht="14.25">
      <c r="H125" s="43"/>
    </row>
    <row r="126" s="40" customFormat="1" ht="14.25">
      <c r="H126" s="43"/>
    </row>
    <row r="127" s="40" customFormat="1" ht="14.25">
      <c r="H127" s="43"/>
    </row>
    <row r="128" s="40" customFormat="1" ht="14.25">
      <c r="H128" s="43"/>
    </row>
    <row r="129" s="40" customFormat="1" ht="14.25">
      <c r="H129" s="43"/>
    </row>
    <row r="130" s="40" customFormat="1" ht="14.25">
      <c r="H130" s="43"/>
    </row>
    <row r="131" s="40" customFormat="1" ht="14.25">
      <c r="H131" s="43"/>
    </row>
    <row r="132" s="40" customFormat="1" ht="14.25">
      <c r="H132" s="43"/>
    </row>
    <row r="133" s="40" customFormat="1" ht="14.25">
      <c r="H133" s="43"/>
    </row>
    <row r="134" s="40" customFormat="1" ht="14.25">
      <c r="H134" s="43"/>
    </row>
    <row r="135" s="40" customFormat="1" ht="14.25">
      <c r="H135" s="43"/>
    </row>
    <row r="136" s="40" customFormat="1" ht="14.25">
      <c r="H136" s="43"/>
    </row>
    <row r="137" s="40" customFormat="1" ht="14.25">
      <c r="H137" s="43"/>
    </row>
    <row r="138" s="40" customFormat="1" ht="14.25">
      <c r="H138" s="43"/>
    </row>
    <row r="139" s="40" customFormat="1" ht="14.25">
      <c r="H139" s="43"/>
    </row>
    <row r="140" s="40" customFormat="1" ht="14.25">
      <c r="H140" s="43"/>
    </row>
    <row r="141" s="40" customFormat="1" ht="14.25">
      <c r="H141" s="43"/>
    </row>
    <row r="142" s="40" customFormat="1" ht="14.25">
      <c r="H142" s="43"/>
    </row>
    <row r="143" s="40" customFormat="1" ht="14.25">
      <c r="H143" s="43"/>
    </row>
  </sheetData>
  <sheetProtection password="D833" sheet="1"/>
  <printOptions/>
  <pageMargins left="0.51" right="0.33" top="0.53" bottom="0.53" header="0.5118110236220472" footer="0.5118110236220472"/>
  <pageSetup horizontalDpi="600" verticalDpi="600" orientation="portrait" paperSize="9" r:id="rId1"/>
  <ignoredErrors>
    <ignoredError sqref="C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O11">
      <selection activeCell="O13" sqref="O13:O14"/>
    </sheetView>
  </sheetViews>
  <sheetFormatPr defaultColWidth="9.140625" defaultRowHeight="12.75"/>
  <cols>
    <col min="1" max="1" width="17.8515625" style="12" hidden="1" customWidth="1"/>
    <col min="2" max="2" width="11.421875" style="12" hidden="1" customWidth="1"/>
    <col min="3" max="3" width="13.140625" style="12" hidden="1" customWidth="1"/>
    <col min="4" max="4" width="12.28125" style="12" hidden="1" customWidth="1"/>
    <col min="5" max="5" width="17.28125" style="12" hidden="1" customWidth="1"/>
    <col min="6" max="6" width="11.00390625" style="12" hidden="1" customWidth="1"/>
    <col min="7" max="7" width="10.421875" style="12" hidden="1" customWidth="1"/>
    <col min="8" max="8" width="15.7109375" style="12" hidden="1" customWidth="1"/>
    <col min="9" max="9" width="21.8515625" style="12" hidden="1" customWidth="1"/>
    <col min="10" max="10" width="11.28125" style="12" hidden="1" customWidth="1"/>
    <col min="11" max="11" width="9.28125" style="12" hidden="1" customWidth="1"/>
    <col min="12" max="12" width="8.57421875" style="12" hidden="1" customWidth="1"/>
    <col min="13" max="13" width="0.42578125" style="12" hidden="1" customWidth="1"/>
    <col min="14" max="14" width="9.57421875" style="12" hidden="1" customWidth="1"/>
    <col min="15" max="15" width="9.28125" style="12" customWidth="1"/>
    <col min="16" max="16" width="9.8515625" style="12" customWidth="1"/>
    <col min="17" max="16384" width="9.140625" style="12" customWidth="1"/>
  </cols>
  <sheetData>
    <row r="1" ht="13.5" thickBot="1">
      <c r="M1" s="12" t="s">
        <v>31</v>
      </c>
    </row>
    <row r="2" spans="13:14" ht="14.25">
      <c r="M2" s="23">
        <v>0</v>
      </c>
      <c r="N2" s="9" t="s">
        <v>1</v>
      </c>
    </row>
    <row r="3" spans="13:14" ht="14.25">
      <c r="M3" s="5">
        <v>0.09</v>
      </c>
      <c r="N3" s="10">
        <v>0.01</v>
      </c>
    </row>
    <row r="4" spans="6:14" s="1" customFormat="1" ht="13.5">
      <c r="F4" s="16" t="s">
        <v>70</v>
      </c>
      <c r="G4" s="2" t="s">
        <v>72</v>
      </c>
      <c r="M4" s="5">
        <v>0.12</v>
      </c>
      <c r="N4" s="10">
        <v>0.02</v>
      </c>
    </row>
    <row r="5" spans="7:14" s="1" customFormat="1" ht="13.5">
      <c r="G5" s="2"/>
      <c r="M5" s="5">
        <v>0.19</v>
      </c>
      <c r="N5" s="10">
        <v>0.04</v>
      </c>
    </row>
    <row r="6" spans="7:14" s="1" customFormat="1" ht="13.5">
      <c r="G6" s="2"/>
      <c r="M6" s="5">
        <v>0.21</v>
      </c>
      <c r="N6" s="10">
        <v>0.05</v>
      </c>
    </row>
    <row r="7" spans="1:14" s="1" customFormat="1" ht="13.5">
      <c r="A7" s="1" t="s">
        <v>73</v>
      </c>
      <c r="B7" s="1" t="s">
        <v>68</v>
      </c>
      <c r="C7" s="1" t="s">
        <v>69</v>
      </c>
      <c r="D7" s="1" t="s">
        <v>71</v>
      </c>
      <c r="E7" s="33" t="s">
        <v>74</v>
      </c>
      <c r="F7" s="33" t="s">
        <v>75</v>
      </c>
      <c r="G7" s="2" t="s">
        <v>76</v>
      </c>
      <c r="H7" s="14" t="s">
        <v>77</v>
      </c>
      <c r="J7" s="1" t="s">
        <v>78</v>
      </c>
      <c r="M7" s="5">
        <v>0.26</v>
      </c>
      <c r="N7" s="10">
        <v>0.07</v>
      </c>
    </row>
    <row r="8" spans="2:14" s="1" customFormat="1" ht="13.5">
      <c r="B8" s="15">
        <v>0</v>
      </c>
      <c r="C8" s="15">
        <f aca="true" t="shared" si="0" ref="C8:C24">B8*0.648</f>
        <v>0</v>
      </c>
      <c r="D8" s="15">
        <f aca="true" t="shared" si="1" ref="D8:D24">B8+C8</f>
        <v>0</v>
      </c>
      <c r="E8" s="18">
        <v>5</v>
      </c>
      <c r="F8" s="18">
        <v>7</v>
      </c>
      <c r="G8" s="2"/>
      <c r="M8" s="5">
        <v>0.28</v>
      </c>
      <c r="N8" s="10">
        <v>0.08</v>
      </c>
    </row>
    <row r="9" spans="2:14" s="1" customFormat="1" ht="13.5">
      <c r="B9" s="15">
        <v>3.266</v>
      </c>
      <c r="C9" s="15">
        <f t="shared" si="0"/>
        <v>2.116368</v>
      </c>
      <c r="D9" s="15">
        <f t="shared" si="1"/>
        <v>5.382368</v>
      </c>
      <c r="E9" s="18">
        <v>14</v>
      </c>
      <c r="F9" s="18">
        <v>16.1</v>
      </c>
      <c r="G9" s="17">
        <f>E9-5</f>
        <v>9</v>
      </c>
      <c r="J9" s="6"/>
      <c r="M9" s="5">
        <v>0.3</v>
      </c>
      <c r="N9" s="10">
        <v>0.09</v>
      </c>
    </row>
    <row r="10" spans="2:14" s="1" customFormat="1" ht="13.5">
      <c r="B10" s="15">
        <v>6.53</v>
      </c>
      <c r="C10" s="15">
        <f t="shared" si="0"/>
        <v>4.23144</v>
      </c>
      <c r="D10" s="15">
        <f t="shared" si="1"/>
        <v>10.76144</v>
      </c>
      <c r="E10" s="18">
        <v>23</v>
      </c>
      <c r="F10" s="18">
        <v>26.1</v>
      </c>
      <c r="G10" s="17">
        <f>E10-5</f>
        <v>18</v>
      </c>
      <c r="H10" s="19">
        <f>G9/D9*D10</f>
        <v>17.99448867115738</v>
      </c>
      <c r="J10" s="6">
        <v>0.8</v>
      </c>
      <c r="M10" s="5">
        <v>0.32</v>
      </c>
      <c r="N10" s="10">
        <v>0.1</v>
      </c>
    </row>
    <row r="11" spans="2:14" s="1" customFormat="1" ht="13.5">
      <c r="B11" s="15">
        <v>9.8</v>
      </c>
      <c r="C11" s="15">
        <f t="shared" si="0"/>
        <v>6.3504000000000005</v>
      </c>
      <c r="D11" s="15">
        <f t="shared" si="1"/>
        <v>16.1504</v>
      </c>
      <c r="E11" s="18"/>
      <c r="F11" s="18">
        <v>35.2</v>
      </c>
      <c r="G11" s="17"/>
      <c r="H11" s="19">
        <f>G9/D9*D11</f>
        <v>27.005511328842626</v>
      </c>
      <c r="J11" s="6"/>
      <c r="K11" s="1">
        <v>0.8</v>
      </c>
      <c r="M11" s="5">
        <v>0.48</v>
      </c>
      <c r="N11" s="10">
        <v>0.2</v>
      </c>
    </row>
    <row r="12" spans="2:14" s="1" customFormat="1" ht="13.5">
      <c r="B12" s="15">
        <v>13.06</v>
      </c>
      <c r="C12" s="15">
        <f t="shared" si="0"/>
        <v>8.46288</v>
      </c>
      <c r="D12" s="15">
        <f t="shared" si="1"/>
        <v>21.52288</v>
      </c>
      <c r="E12" s="18"/>
      <c r="F12" s="18">
        <v>44.3</v>
      </c>
      <c r="G12" s="17"/>
      <c r="H12" s="19">
        <f>G9/D9*D12</f>
        <v>35.98897734231476</v>
      </c>
      <c r="J12" s="6"/>
      <c r="K12" s="1">
        <v>0.78</v>
      </c>
      <c r="M12" s="5">
        <v>0.61</v>
      </c>
      <c r="N12" s="10">
        <v>0.3</v>
      </c>
    </row>
    <row r="13" spans="2:14" s="1" customFormat="1" ht="13.5">
      <c r="B13" s="15">
        <v>16.33</v>
      </c>
      <c r="C13" s="15">
        <f t="shared" si="0"/>
        <v>10.58184</v>
      </c>
      <c r="D13" s="15">
        <f t="shared" si="1"/>
        <v>26.911839999999998</v>
      </c>
      <c r="E13" s="18"/>
      <c r="F13" s="18">
        <v>53.9</v>
      </c>
      <c r="G13" s="17"/>
      <c r="H13" s="19">
        <f>G9/D9*D13</f>
        <v>45</v>
      </c>
      <c r="K13" s="6">
        <v>0.81</v>
      </c>
      <c r="M13" s="5">
        <v>0.71</v>
      </c>
      <c r="N13" s="10">
        <v>0.4</v>
      </c>
    </row>
    <row r="14" spans="2:14" s="1" customFormat="1" ht="13.5">
      <c r="B14" s="15">
        <v>32.66</v>
      </c>
      <c r="C14" s="15">
        <f t="shared" si="0"/>
        <v>21.16368</v>
      </c>
      <c r="D14" s="15">
        <f t="shared" si="1"/>
        <v>53.823679999999996</v>
      </c>
      <c r="E14" s="18">
        <v>97.7</v>
      </c>
      <c r="F14" s="18">
        <v>126</v>
      </c>
      <c r="G14" s="17">
        <f>E14-5</f>
        <v>92.7</v>
      </c>
      <c r="H14" s="19">
        <f>G9/D9*D14</f>
        <v>90</v>
      </c>
      <c r="J14" s="1">
        <v>0.805</v>
      </c>
      <c r="K14" s="6"/>
      <c r="M14" s="5">
        <v>0.81</v>
      </c>
      <c r="N14" s="10">
        <v>0.5</v>
      </c>
    </row>
    <row r="15" spans="2:14" s="1" customFormat="1" ht="13.5">
      <c r="B15" s="15">
        <v>65.32</v>
      </c>
      <c r="C15" s="15">
        <f t="shared" si="0"/>
        <v>42.32736</v>
      </c>
      <c r="D15" s="15">
        <f t="shared" si="1"/>
        <v>107.64735999999999</v>
      </c>
      <c r="E15" s="18">
        <v>183</v>
      </c>
      <c r="F15" s="18">
        <v>223</v>
      </c>
      <c r="G15" s="17">
        <f>E15-5</f>
        <v>178</v>
      </c>
      <c r="H15" s="19">
        <f>G9/D9*D15</f>
        <v>180</v>
      </c>
      <c r="J15" s="6">
        <v>0.8</v>
      </c>
      <c r="M15" s="5">
        <v>0.89</v>
      </c>
      <c r="N15" s="10">
        <v>0.6</v>
      </c>
    </row>
    <row r="16" spans="2:14" s="1" customFormat="1" ht="13.5">
      <c r="B16" s="15">
        <v>130.64</v>
      </c>
      <c r="C16" s="15">
        <f t="shared" si="0"/>
        <v>84.65472</v>
      </c>
      <c r="D16" s="15">
        <f t="shared" si="1"/>
        <v>215.29471999999998</v>
      </c>
      <c r="E16" s="18">
        <v>375</v>
      </c>
      <c r="F16" s="18">
        <v>450</v>
      </c>
      <c r="G16" s="17">
        <f>E16-5</f>
        <v>370</v>
      </c>
      <c r="H16" s="19">
        <f>G9/D9*D16</f>
        <v>360</v>
      </c>
      <c r="J16" s="6">
        <v>0.8</v>
      </c>
      <c r="M16" s="5">
        <v>0.97</v>
      </c>
      <c r="N16" s="10">
        <v>0.7</v>
      </c>
    </row>
    <row r="17" spans="2:14" s="1" customFormat="1" ht="13.5">
      <c r="B17" s="15">
        <v>163</v>
      </c>
      <c r="C17" s="15">
        <f t="shared" si="0"/>
        <v>105.62400000000001</v>
      </c>
      <c r="D17" s="15">
        <f t="shared" si="1"/>
        <v>268.624</v>
      </c>
      <c r="E17" s="18">
        <v>461</v>
      </c>
      <c r="F17" s="18"/>
      <c r="G17" s="17">
        <f>E17-5</f>
        <v>456</v>
      </c>
      <c r="H17" s="19">
        <f>G10/D10*D17</f>
        <v>449.3108728943339</v>
      </c>
      <c r="J17" s="6">
        <v>0.8</v>
      </c>
      <c r="M17" s="5">
        <v>1.04</v>
      </c>
      <c r="N17" s="10">
        <v>0.8</v>
      </c>
    </row>
    <row r="18" spans="2:14" s="1" customFormat="1" ht="13.5">
      <c r="B18" s="15">
        <v>326.6</v>
      </c>
      <c r="C18" s="15">
        <f t="shared" si="0"/>
        <v>211.63680000000002</v>
      </c>
      <c r="D18" s="15">
        <f t="shared" si="1"/>
        <v>538.2368</v>
      </c>
      <c r="E18" s="18">
        <v>873</v>
      </c>
      <c r="F18" s="18">
        <v>950</v>
      </c>
      <c r="G18" s="17">
        <f>E18-5</f>
        <v>868</v>
      </c>
      <c r="H18" s="19">
        <f>G9/D9*D18</f>
        <v>900.0000000000001</v>
      </c>
      <c r="J18" s="6">
        <v>0.755</v>
      </c>
      <c r="M18" s="5">
        <v>1.11</v>
      </c>
      <c r="N18" s="10">
        <v>0.9</v>
      </c>
    </row>
    <row r="19" spans="2:14" s="1" customFormat="1" ht="13.5">
      <c r="B19" s="15">
        <v>653.2</v>
      </c>
      <c r="C19" s="15">
        <f t="shared" si="0"/>
        <v>423.27360000000004</v>
      </c>
      <c r="D19" s="15">
        <f t="shared" si="1"/>
        <v>1076.4736</v>
      </c>
      <c r="E19" s="18"/>
      <c r="F19" s="18">
        <v>1868</v>
      </c>
      <c r="G19" s="17"/>
      <c r="H19" s="19">
        <f>G9/D9*D19</f>
        <v>1800.0000000000002</v>
      </c>
      <c r="J19" s="6"/>
      <c r="K19" s="1">
        <v>0.8</v>
      </c>
      <c r="M19" s="5">
        <v>1.17</v>
      </c>
      <c r="N19" s="10">
        <v>1</v>
      </c>
    </row>
    <row r="20" spans="2:14" s="1" customFormat="1" ht="13.5">
      <c r="B20" s="15">
        <v>1633</v>
      </c>
      <c r="C20" s="15">
        <f t="shared" si="0"/>
        <v>1058.184</v>
      </c>
      <c r="D20" s="15">
        <f t="shared" si="1"/>
        <v>2691.184</v>
      </c>
      <c r="E20" s="18">
        <v>4410</v>
      </c>
      <c r="F20" s="18">
        <v>4470</v>
      </c>
      <c r="G20" s="17">
        <f aca="true" t="shared" si="2" ref="G20:G25">E20-5</f>
        <v>4405</v>
      </c>
      <c r="H20" s="19">
        <f>G9/D9*D20</f>
        <v>4500.000000000001</v>
      </c>
      <c r="J20" s="6">
        <v>0.76</v>
      </c>
      <c r="M20" s="5">
        <v>1.69</v>
      </c>
      <c r="N20" s="10">
        <v>2</v>
      </c>
    </row>
    <row r="21" spans="2:14" s="1" customFormat="1" ht="13.5">
      <c r="B21" s="15">
        <v>2556</v>
      </c>
      <c r="C21" s="15">
        <f t="shared" si="0"/>
        <v>1656.288</v>
      </c>
      <c r="D21" s="15">
        <f t="shared" si="1"/>
        <v>4212.2880000000005</v>
      </c>
      <c r="E21" s="18">
        <v>6440</v>
      </c>
      <c r="F21" s="18"/>
      <c r="G21" s="17">
        <f t="shared" si="2"/>
        <v>6435</v>
      </c>
      <c r="H21" s="19">
        <f>G9/D9*D21</f>
        <v>7043.478260869567</v>
      </c>
      <c r="J21" s="6">
        <v>0.71</v>
      </c>
      <c r="M21" s="5">
        <v>2.12</v>
      </c>
      <c r="N21" s="10">
        <v>3</v>
      </c>
    </row>
    <row r="22" spans="2:14" s="1" customFormat="1" ht="13.5">
      <c r="B22" s="15">
        <v>3266</v>
      </c>
      <c r="C22" s="15">
        <f t="shared" si="0"/>
        <v>2116.368</v>
      </c>
      <c r="D22" s="15">
        <f t="shared" si="1"/>
        <v>5382.368</v>
      </c>
      <c r="E22" s="18">
        <v>8460</v>
      </c>
      <c r="F22" s="18">
        <v>8460</v>
      </c>
      <c r="G22" s="17">
        <f t="shared" si="2"/>
        <v>8455</v>
      </c>
      <c r="H22" s="19">
        <f>G9/D9*D22</f>
        <v>9000.000000000002</v>
      </c>
      <c r="J22" s="6">
        <v>0.725</v>
      </c>
      <c r="M22" s="5">
        <v>2.46</v>
      </c>
      <c r="N22" s="25">
        <v>4</v>
      </c>
    </row>
    <row r="23" spans="2:14" s="1" customFormat="1" ht="13.5">
      <c r="B23" s="15">
        <v>4260</v>
      </c>
      <c r="C23" s="15">
        <f t="shared" si="0"/>
        <v>2760.48</v>
      </c>
      <c r="D23" s="15">
        <f t="shared" si="1"/>
        <v>7020.48</v>
      </c>
      <c r="E23" s="18">
        <v>10640</v>
      </c>
      <c r="F23" s="18"/>
      <c r="G23" s="17">
        <f t="shared" si="2"/>
        <v>10635</v>
      </c>
      <c r="H23" s="19">
        <f>G9/D9*D23</f>
        <v>11739.13043478261</v>
      </c>
      <c r="J23" s="6">
        <v>0.7</v>
      </c>
      <c r="M23" s="26">
        <v>3.59</v>
      </c>
      <c r="N23" s="25">
        <v>8</v>
      </c>
    </row>
    <row r="24" spans="2:14" ht="14.25">
      <c r="B24" s="15">
        <v>5964</v>
      </c>
      <c r="C24" s="15">
        <f t="shared" si="0"/>
        <v>3864.672</v>
      </c>
      <c r="D24" s="15">
        <f t="shared" si="1"/>
        <v>9828.672</v>
      </c>
      <c r="E24" s="18">
        <v>14510</v>
      </c>
      <c r="F24" s="13"/>
      <c r="G24" s="17">
        <f t="shared" si="2"/>
        <v>14505</v>
      </c>
      <c r="H24" s="19">
        <f>G9/D9*D24</f>
        <v>16434.782608695656</v>
      </c>
      <c r="J24" s="21">
        <v>0.68</v>
      </c>
      <c r="M24" s="26">
        <v>4.55</v>
      </c>
      <c r="N24" s="25">
        <v>12</v>
      </c>
    </row>
    <row r="25" spans="2:14" ht="14.25">
      <c r="B25" s="15">
        <v>8520</v>
      </c>
      <c r="C25" s="15">
        <f>B25*0.648</f>
        <v>5520.96</v>
      </c>
      <c r="D25" s="15">
        <f>B25+C25</f>
        <v>14040.96</v>
      </c>
      <c r="E25" s="18">
        <v>19900</v>
      </c>
      <c r="F25" s="13"/>
      <c r="G25" s="17">
        <f t="shared" si="2"/>
        <v>19895</v>
      </c>
      <c r="H25" s="19">
        <f>G9/D9*D25</f>
        <v>23478.26086956522</v>
      </c>
      <c r="J25" s="21">
        <v>0.66</v>
      </c>
      <c r="M25" s="5">
        <v>5.24</v>
      </c>
      <c r="N25" s="25">
        <v>16</v>
      </c>
    </row>
    <row r="26" spans="13:14" ht="14.25">
      <c r="M26" s="5">
        <v>7.65</v>
      </c>
      <c r="N26" s="25">
        <v>32</v>
      </c>
    </row>
    <row r="27" spans="13:14" ht="14.25">
      <c r="M27" s="5">
        <v>9.12</v>
      </c>
      <c r="N27" s="25">
        <v>48</v>
      </c>
    </row>
    <row r="28" spans="2:14" ht="14.25">
      <c r="B28" s="3" t="s">
        <v>30</v>
      </c>
      <c r="C28" s="4" t="s">
        <v>32</v>
      </c>
      <c r="D28" s="1"/>
      <c r="E28" s="1" t="s">
        <v>58</v>
      </c>
      <c r="F28" s="1" t="s">
        <v>67</v>
      </c>
      <c r="G28" s="1"/>
      <c r="H28" s="1"/>
      <c r="I28" s="1"/>
      <c r="M28" s="5">
        <v>11.17</v>
      </c>
      <c r="N28" s="10">
        <v>64</v>
      </c>
    </row>
    <row r="29" spans="2:14" ht="14.25">
      <c r="B29" s="5"/>
      <c r="C29" s="2"/>
      <c r="D29" s="1"/>
      <c r="E29" s="1" t="s">
        <v>59</v>
      </c>
      <c r="F29" s="1">
        <v>1.67</v>
      </c>
      <c r="G29" s="1"/>
      <c r="H29" s="1"/>
      <c r="I29" s="1"/>
      <c r="M29" s="27">
        <v>12.8</v>
      </c>
      <c r="N29" s="28">
        <v>96</v>
      </c>
    </row>
    <row r="30" spans="1:14" ht="15" thickBot="1">
      <c r="A30" s="1" t="s">
        <v>19</v>
      </c>
      <c r="B30" s="7">
        <v>2.97</v>
      </c>
      <c r="C30" s="1">
        <f>Foglio1!C12*B30</f>
        <v>0</v>
      </c>
      <c r="D30" s="1"/>
      <c r="E30" s="1" t="s">
        <v>60</v>
      </c>
      <c r="F30" s="1">
        <v>1.4</v>
      </c>
      <c r="G30" s="1"/>
      <c r="H30" s="1"/>
      <c r="I30" s="1"/>
      <c r="M30" s="29">
        <v>16.3</v>
      </c>
      <c r="N30" s="30">
        <v>128</v>
      </c>
    </row>
    <row r="31" spans="1:13" ht="14.25">
      <c r="A31" s="1" t="s">
        <v>20</v>
      </c>
      <c r="B31" s="5">
        <v>4.34</v>
      </c>
      <c r="C31" s="1">
        <f>Foglio1!C13*B31</f>
        <v>0</v>
      </c>
      <c r="D31" s="1"/>
      <c r="E31" s="1" t="s">
        <v>61</v>
      </c>
      <c r="F31" s="1">
        <v>1.25</v>
      </c>
      <c r="G31" s="1"/>
      <c r="H31" s="1"/>
      <c r="I31" s="14" t="s">
        <v>81</v>
      </c>
      <c r="M31" s="27"/>
    </row>
    <row r="32" spans="1:13" ht="14.25">
      <c r="A32" s="1" t="s">
        <v>17</v>
      </c>
      <c r="B32" s="26">
        <v>2.17</v>
      </c>
      <c r="C32" s="1">
        <f>Foglio1!C14*B32</f>
        <v>0</v>
      </c>
      <c r="D32" s="34"/>
      <c r="E32" s="1" t="s">
        <v>62</v>
      </c>
      <c r="F32" s="1">
        <v>1.1</v>
      </c>
      <c r="G32" s="1"/>
      <c r="H32" s="1"/>
      <c r="I32" s="15">
        <f>Foglio1!C24</f>
        <v>0</v>
      </c>
      <c r="M32" s="22" t="s">
        <v>85</v>
      </c>
    </row>
    <row r="33" spans="1:13" ht="14.25">
      <c r="A33" s="1" t="s">
        <v>2</v>
      </c>
      <c r="B33" s="5">
        <v>1.88</v>
      </c>
      <c r="C33" s="1">
        <f>Foglio1!C15*B33</f>
        <v>0</v>
      </c>
      <c r="D33" s="34"/>
      <c r="E33" s="1" t="s">
        <v>63</v>
      </c>
      <c r="F33" s="1">
        <v>1.05</v>
      </c>
      <c r="G33" s="1"/>
      <c r="H33" s="1"/>
      <c r="I33" s="1" t="s">
        <v>80</v>
      </c>
      <c r="K33" s="21"/>
      <c r="M33" s="14" t="str">
        <f>IF(Foglio1!C41&lt;0.01,M2,"")&amp;IF(AND(Foglio1!C41&lt;0.02,0.01&lt;=Foglio1!C41),M3,"")&amp;IF(AND(Foglio1!C41&lt;0.04,0.02&lt;=Foglio1!C41),M4,"")&amp;IF(AND(Foglio1!C41&lt;0.05,0.04&lt;=Foglio1!C41),M5,"")&amp;IF(AND(Foglio1!C41&lt;0.07,0.05&lt;=Foglio1!C41),M6,"")&amp;IF(AND(Foglio1!C41&lt;0.08,0.07&lt;=Foglio1!C41),M7,"")&amp;IF(AND(Foglio1!C41&lt;0.09,0.08&lt;=Foglio1!C41),M8,"")&amp;IF(AND(Foglio1!C41&lt;0.1,0.09&lt;=Foglio1!C41),M9,"")&amp;IF(AND(Foglio1!C41&lt;0.2,0.1&lt;=Foglio1!C41),M10,"")&amp;IF(AND(Foglio1!C41&lt;0.3,0.2&lt;=Foglio1!C41),M11,"")&amp;IF(AND(Foglio1!C41&lt;0.4,0.3&lt;=Foglio1!C41),M12,"")&amp;IF(AND(Foglio1!C41&lt;0.5,0.4&lt;=Foglio1!C41),M13,"")&amp;IF(AND(Foglio1!C41&lt;0.6,0.5&lt;=Foglio1!C41),M14,"")&amp;IF(AND(Foglio1!C41&lt;0.7,0.6&lt;=Foglio1!C41),M15,"")&amp;IF(AND(Foglio1!C41&lt;0.8,0.7&lt;=Foglio1!C41),M16,"")&amp;IF(AND(Foglio1!C41&lt;0.9,0.8&lt;=Foglio1!C41),M17,"")&amp;IF(AND(Foglio1!C41&lt;1,0.9&lt;=Foglio1!C41),M18,"")&amp;IF(AND(Foglio1!C41&lt;2,1&lt;=Foglio1!C41),M19,"")&amp;IF(AND(Foglio1!C41&lt;3,2&lt;=Foglio1!C41),M20,"")&amp;IF(AND(Foglio1!C41&lt;4,3&lt;=Foglio1!C41),M21,"")&amp;IF(AND(Foglio1!C41&lt;8,4&lt;=Foglio1!C41),M22,"")&amp;IF(AND(Foglio1!C41&lt;12,8&lt;=Foglio1!C41),M23,"")&amp;IF(AND(Foglio1!C41&lt;16,12&lt;=Foglio1!C41),M24,"")&amp;IF(AND(Foglio1!C41&lt;32,16&lt;=Foglio1!C41),M25,"")&amp;IF(AND(Foglio1!C41&lt;48,32&lt;=Foglio1!C41),M26,"")&amp;IF(AND(Foglio1!C41&lt;64,48&lt;=Foglio1!C41),M27,"")&amp;IF(AND(Foglio1!C41&lt;96,64&lt;=Foglio1!C41),M28,"")&amp;IF(AND(Foglio1!C41&lt;128,96&lt;=Foglio1!C41),M29,"")&amp;IF(Foglio1!C41&gt;=128,(M30),"")</f>
        <v>0</v>
      </c>
    </row>
    <row r="34" spans="1:9" ht="14.25">
      <c r="A34" s="1" t="s">
        <v>16</v>
      </c>
      <c r="B34" s="5">
        <v>4.08</v>
      </c>
      <c r="C34" s="1">
        <f>Foglio1!C16*B34</f>
        <v>0</v>
      </c>
      <c r="D34" s="1"/>
      <c r="E34" s="1" t="s">
        <v>64</v>
      </c>
      <c r="F34" s="1">
        <v>1</v>
      </c>
      <c r="G34" s="1"/>
      <c r="H34" s="1"/>
      <c r="I34" s="31" t="str">
        <f>IF(I32&lt;50,(I32*1.67),"")&amp;IF(AND(I32&lt;100,50&lt;=I32),(I32*1.3),"")&amp;IF(AND(I32&lt;200,100&lt;=I32),(I32*1.22),"")&amp;IF(AND(I32&lt;300,200&lt;=I32),(I32*1.05),"")&amp;IF(AND(I32&lt;500,300&lt;=I32),(I32*0.95),"")&amp;IF(AND(I32&lt;1000,500&lt;=I32),(I32*0.9),"")&amp;IF(AND(I32&lt;2000,1000&lt;=I32),(I32*0.86),"")&amp;IF(AND(I32&lt;5000,2000&lt;=I32),(I32*0.83),"")&amp;IF(AND(I32&lt;15000,5000&lt;=I32),(I32*0.8),"")&amp;IF(I32&gt;=15000,(I32*0.77),"")</f>
        <v>0</v>
      </c>
    </row>
    <row r="35" spans="1:9" ht="14.25">
      <c r="A35" s="1" t="s">
        <v>5</v>
      </c>
      <c r="B35" s="5">
        <v>1.91</v>
      </c>
      <c r="C35" s="1">
        <f>Foglio1!C17*B35</f>
        <v>0</v>
      </c>
      <c r="D35" s="1"/>
      <c r="E35" s="1" t="s">
        <v>65</v>
      </c>
      <c r="F35" s="1">
        <v>0.98</v>
      </c>
      <c r="G35" s="1"/>
      <c r="H35" s="1"/>
      <c r="I35" s="14"/>
    </row>
    <row r="36" spans="1:9" ht="14.25">
      <c r="A36" s="1" t="s">
        <v>15</v>
      </c>
      <c r="B36" s="5"/>
      <c r="C36" s="1">
        <f>Foglio1!C18*B36</f>
        <v>0</v>
      </c>
      <c r="D36" s="1"/>
      <c r="E36" s="1" t="s">
        <v>66</v>
      </c>
      <c r="F36" s="1">
        <v>0.97</v>
      </c>
      <c r="G36" s="1"/>
      <c r="H36" s="1"/>
      <c r="I36" s="1"/>
    </row>
    <row r="37" spans="1:9" ht="14.25">
      <c r="A37" s="1" t="s">
        <v>21</v>
      </c>
      <c r="B37" s="5">
        <v>0.93</v>
      </c>
      <c r="C37" s="1">
        <f>Foglio1!C19*B37</f>
        <v>0</v>
      </c>
      <c r="D37" s="1"/>
      <c r="E37" s="1"/>
      <c r="F37" s="1"/>
      <c r="G37" s="1"/>
      <c r="H37" s="1"/>
      <c r="I37" s="1"/>
    </row>
    <row r="38" spans="1:9" ht="14.25">
      <c r="A38" s="1" t="s">
        <v>24</v>
      </c>
      <c r="B38" s="5">
        <v>1.35</v>
      </c>
      <c r="C38" s="1">
        <f>Foglio1!C20*B38</f>
        <v>0</v>
      </c>
      <c r="D38" s="1"/>
      <c r="E38" s="1" t="s">
        <v>44</v>
      </c>
      <c r="F38" s="1"/>
      <c r="G38" s="1"/>
      <c r="H38" s="1"/>
      <c r="I38" s="1"/>
    </row>
    <row r="39" spans="1:9" ht="14.25">
      <c r="A39" s="1" t="s">
        <v>23</v>
      </c>
      <c r="B39" s="5">
        <v>2.82</v>
      </c>
      <c r="C39" s="1">
        <v>0</v>
      </c>
      <c r="D39" s="1"/>
      <c r="E39" s="1" t="s">
        <v>46</v>
      </c>
      <c r="F39" s="11">
        <f>C56*0.82</f>
        <v>0</v>
      </c>
      <c r="G39" s="1"/>
      <c r="H39" s="1"/>
      <c r="I39" s="1"/>
    </row>
    <row r="40" spans="1:9" ht="14.25">
      <c r="A40" s="1" t="s">
        <v>6</v>
      </c>
      <c r="B40" s="5">
        <v>0.73</v>
      </c>
      <c r="C40" s="1">
        <f>Foglio1!C22*B40</f>
        <v>0</v>
      </c>
      <c r="D40" s="34">
        <v>0.73</v>
      </c>
      <c r="E40" s="1" t="s">
        <v>53</v>
      </c>
      <c r="F40" s="11">
        <f>C56*0.83</f>
        <v>0</v>
      </c>
      <c r="G40" s="1"/>
      <c r="H40" s="1"/>
      <c r="I40" s="1" t="s">
        <v>79</v>
      </c>
    </row>
    <row r="41" spans="1:9" ht="14.25">
      <c r="A41" s="1" t="s">
        <v>7</v>
      </c>
      <c r="B41" s="5">
        <v>2.15</v>
      </c>
      <c r="C41" s="1">
        <f>Foglio1!C23*B41</f>
        <v>0</v>
      </c>
      <c r="D41" s="1"/>
      <c r="E41" s="1" t="s">
        <v>47</v>
      </c>
      <c r="F41" s="11">
        <f>C56*0.8</f>
        <v>0</v>
      </c>
      <c r="G41" s="1"/>
      <c r="H41" s="1" t="s">
        <v>79</v>
      </c>
      <c r="I41" s="32" t="str">
        <f>IF(Foglio1!C43&lt;150,(C56*0.8),"")&amp;IF(AND(Foglio1!C43&lt;750,150&lt;=Foglio1!C43),(C56*0.77),"")&amp;IF(AND(Foglio1!C43&lt;1500,750&lt;=Foglio1!C43),(C56*0.75),"")&amp;IF(AND(Foglio1!C43&lt;3000,1500&lt;=Foglio1!C43),(C56*0.74),"")&amp;IF(AND(Foglio1!C43&lt;7500,3000&lt;=Foglio1!C43),(C56*0.73),"")&amp;IF(AND(Foglio1!C43&lt;13000,7500&lt;=Foglio1!C43),(C56*0.72),"")&amp;IF(AND(Foglio1!C43&lt;22000,13000&lt;=Foglio1!C43),(C56*0.71),"")&amp;IF(Foglio1!C43&gt;=22000,(C56*0.7),"")</f>
        <v>0</v>
      </c>
    </row>
    <row r="42" spans="1:9" ht="14.25">
      <c r="A42" s="1" t="s">
        <v>22</v>
      </c>
      <c r="B42" s="5">
        <v>1.67</v>
      </c>
      <c r="C42" s="20"/>
      <c r="D42" s="1"/>
      <c r="E42" s="1" t="s">
        <v>45</v>
      </c>
      <c r="F42" s="11">
        <f>C56*0.77</f>
        <v>0</v>
      </c>
      <c r="G42" s="1"/>
      <c r="H42" s="1"/>
      <c r="I42" s="1" t="s">
        <v>86</v>
      </c>
    </row>
    <row r="43" spans="1:9" ht="14.25">
      <c r="A43" s="1" t="s">
        <v>8</v>
      </c>
      <c r="B43" s="5">
        <v>1.15</v>
      </c>
      <c r="C43" s="1">
        <f>Foglio1!C25*B43</f>
        <v>0</v>
      </c>
      <c r="D43" s="1"/>
      <c r="E43" s="1" t="s">
        <v>49</v>
      </c>
      <c r="F43" s="11">
        <f>C56*0.74</f>
        <v>0</v>
      </c>
      <c r="G43" s="1"/>
      <c r="H43" s="1" t="s">
        <v>86</v>
      </c>
      <c r="I43" s="24">
        <f>I41+M33</f>
        <v>0</v>
      </c>
    </row>
    <row r="44" spans="1:9" ht="14.25">
      <c r="A44" s="1" t="s">
        <v>18</v>
      </c>
      <c r="B44" s="5">
        <v>2.92</v>
      </c>
      <c r="C44" s="1">
        <f>Foglio1!C26*B44</f>
        <v>0</v>
      </c>
      <c r="D44" s="1"/>
      <c r="E44" s="1" t="s">
        <v>50</v>
      </c>
      <c r="F44" s="11">
        <f>C56*0.73</f>
        <v>0</v>
      </c>
      <c r="G44" s="1"/>
      <c r="H44" s="1"/>
      <c r="I44" s="19">
        <f>_XLL.ARROTONDA.MULTIPLO(I43,0.01)</f>
        <v>0</v>
      </c>
    </row>
    <row r="45" spans="1:9" ht="14.25">
      <c r="A45" s="1" t="s">
        <v>25</v>
      </c>
      <c r="B45" s="5">
        <v>339.61</v>
      </c>
      <c r="C45" s="1">
        <f>Foglio1!C27*B45</f>
        <v>0</v>
      </c>
      <c r="D45" s="1"/>
      <c r="E45" s="1" t="s">
        <v>48</v>
      </c>
      <c r="F45" s="11">
        <f>C56*0.71</f>
        <v>0</v>
      </c>
      <c r="G45" s="1"/>
      <c r="H45" s="1"/>
      <c r="I45" s="1"/>
    </row>
    <row r="46" spans="1:9" ht="14.25">
      <c r="A46" s="1" t="s">
        <v>26</v>
      </c>
      <c r="B46" s="5">
        <v>11.66</v>
      </c>
      <c r="C46" s="1">
        <f>Foglio1!C28*B46</f>
        <v>0</v>
      </c>
      <c r="D46" s="1"/>
      <c r="E46" s="1" t="s">
        <v>52</v>
      </c>
      <c r="F46" s="11">
        <f>C56*0.69</f>
        <v>0</v>
      </c>
      <c r="G46" s="1"/>
      <c r="H46" s="1"/>
      <c r="I46" s="1"/>
    </row>
    <row r="47" spans="1:9" ht="14.25">
      <c r="A47" s="1" t="s">
        <v>27</v>
      </c>
      <c r="B47" s="5">
        <v>2.22</v>
      </c>
      <c r="C47" s="1">
        <f>Foglio1!C29*B47</f>
        <v>0</v>
      </c>
      <c r="D47" s="1"/>
      <c r="E47" s="1" t="s">
        <v>51</v>
      </c>
      <c r="F47" s="11">
        <f>C56*0.68</f>
        <v>0</v>
      </c>
      <c r="G47" s="1"/>
      <c r="H47" s="1"/>
      <c r="I47" s="1"/>
    </row>
    <row r="48" spans="1:9" ht="14.25">
      <c r="A48" s="1" t="s">
        <v>28</v>
      </c>
      <c r="B48" s="5">
        <v>1.11</v>
      </c>
      <c r="C48" s="1">
        <f>Foglio1!C30*B48</f>
        <v>0</v>
      </c>
      <c r="D48" s="1"/>
      <c r="E48" s="1" t="s">
        <v>54</v>
      </c>
      <c r="F48" s="11">
        <f>C56*0.65</f>
        <v>0</v>
      </c>
      <c r="G48" s="1"/>
      <c r="H48" s="1"/>
      <c r="I48" s="1"/>
    </row>
    <row r="49" spans="1:9" ht="14.25">
      <c r="A49" s="1" t="s">
        <v>37</v>
      </c>
      <c r="B49" s="5"/>
      <c r="C49" s="1"/>
      <c r="D49" s="1"/>
      <c r="E49" s="1" t="s">
        <v>55</v>
      </c>
      <c r="F49" s="11">
        <f>C56*0.67</f>
        <v>0</v>
      </c>
      <c r="G49" s="1"/>
      <c r="H49" s="1"/>
      <c r="I49" s="1"/>
    </row>
    <row r="50" spans="1:9" ht="14.25">
      <c r="A50" s="1" t="s">
        <v>38</v>
      </c>
      <c r="B50" s="5"/>
      <c r="C50" s="1"/>
      <c r="D50" s="1"/>
      <c r="E50" s="1" t="s">
        <v>56</v>
      </c>
      <c r="F50" s="11">
        <f>C56*0.64</f>
        <v>0</v>
      </c>
      <c r="G50" s="1"/>
      <c r="H50" s="1"/>
      <c r="I50" s="1"/>
    </row>
    <row r="51" spans="1:9" ht="14.25">
      <c r="A51" s="1" t="s">
        <v>39</v>
      </c>
      <c r="B51" s="5"/>
      <c r="C51" s="1"/>
      <c r="D51" s="1"/>
      <c r="E51" s="1" t="s">
        <v>57</v>
      </c>
      <c r="F51" s="11">
        <f>C56*0.62</f>
        <v>0</v>
      </c>
      <c r="G51" s="1"/>
      <c r="H51" s="1"/>
      <c r="I51" s="6"/>
    </row>
    <row r="52" spans="1:9" ht="14.25">
      <c r="A52" s="1" t="s">
        <v>40</v>
      </c>
      <c r="B52" s="5"/>
      <c r="C52" s="1"/>
      <c r="D52" s="1"/>
      <c r="E52" s="1"/>
      <c r="F52" s="1"/>
      <c r="G52" s="11"/>
      <c r="H52" s="1"/>
      <c r="I52" s="1"/>
    </row>
    <row r="53" spans="1:9" ht="14.25">
      <c r="A53" s="1" t="s">
        <v>41</v>
      </c>
      <c r="B53" s="5"/>
      <c r="C53" s="1"/>
      <c r="D53" s="1"/>
      <c r="E53" s="1"/>
      <c r="F53" s="1"/>
      <c r="G53" s="1"/>
      <c r="H53" s="1"/>
      <c r="I53" s="1"/>
    </row>
    <row r="54" spans="1:9" ht="14.25">
      <c r="A54" s="1" t="s">
        <v>42</v>
      </c>
      <c r="B54" s="5"/>
      <c r="C54" s="1"/>
      <c r="D54" s="1"/>
      <c r="E54" s="1"/>
      <c r="F54" s="1"/>
      <c r="G54" s="1"/>
      <c r="H54" s="1"/>
      <c r="I54" s="1"/>
    </row>
    <row r="55" spans="1:9" ht="15" thickBot="1">
      <c r="A55" s="1" t="s">
        <v>43</v>
      </c>
      <c r="B55" s="5"/>
      <c r="C55" s="1"/>
      <c r="D55" s="1"/>
      <c r="E55" s="1"/>
      <c r="F55" s="1"/>
      <c r="G55" s="1"/>
      <c r="H55" s="1"/>
      <c r="I55" s="1"/>
    </row>
    <row r="56" spans="2:9" ht="15" thickBot="1">
      <c r="B56" s="3" t="s">
        <v>29</v>
      </c>
      <c r="C56" s="8">
        <f>SUM(C30:C48)+I34</f>
        <v>0</v>
      </c>
      <c r="D56" s="1"/>
      <c r="E56" s="1"/>
      <c r="F56" s="1"/>
      <c r="G56" s="1"/>
      <c r="H56" s="1"/>
      <c r="I56" s="1"/>
    </row>
  </sheetData>
  <sheetProtection password="D833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Stefano</cp:lastModifiedBy>
  <cp:lastPrinted>2012-06-04T20:40:28Z</cp:lastPrinted>
  <dcterms:created xsi:type="dcterms:W3CDTF">2005-02-20T11:13:52Z</dcterms:created>
  <dcterms:modified xsi:type="dcterms:W3CDTF">2012-06-12T22:04:39Z</dcterms:modified>
  <cp:category/>
  <cp:version/>
  <cp:contentType/>
  <cp:contentStatus/>
</cp:coreProperties>
</file>